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st Forecast" sheetId="1" state="visible" r:id="rId3"/>
    <sheet name="Value Capture" sheetId="2" state="visible" r:id="rId4"/>
    <sheet name="Controls &amp; Governanc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<sst xmlns="http://schemas.openxmlformats.org/spreadsheetml/2006/main" count="231" uniqueCount="187">
  <si>
    <t xml:space="preserve">AI Coding Tool Budget Forecast Calculator</t>
  </si>
  <si>
    <t xml:space="preserve">Token-based pricing model | Variable cost forecasting | See 'Value Capture' tab for ROI analysis</t>
  </si>
  <si>
    <t xml:space="preserve">INPUT ASSUMPTIONS</t>
  </si>
  <si>
    <t xml:space="preserve">Blue cells = editable inputs</t>
  </si>
  <si>
    <t xml:space="preserve">WORKFORCE</t>
  </si>
  <si>
    <t xml:space="preserve">Total engineering headcount</t>
  </si>
  <si>
    <t xml:space="preserve">Number of engineers with access</t>
  </si>
  <si>
    <t xml:space="preserve">Expected adoption rate (%)</t>
  </si>
  <si>
    <t xml:space="preserve">% actively using the tool</t>
  </si>
  <si>
    <t xml:space="preserve">Active AI coding users (calculated)</t>
  </si>
  <si>
    <t xml:space="preserve">USAGE PATTERNS</t>
  </si>
  <si>
    <t xml:space="preserve">Average tokens per user per day (input)</t>
  </si>
  <si>
    <t xml:space="preserve">Input tokens consumed per user daily</t>
  </si>
  <si>
    <t xml:space="preserve">Average tokens per user per day (output)</t>
  </si>
  <si>
    <t xml:space="preserve">Output tokens consumed per user daily</t>
  </si>
  <si>
    <t xml:space="preserve">Working days per month</t>
  </si>
  <si>
    <t xml:space="preserve">Typical working days</t>
  </si>
  <si>
    <t xml:space="preserve">Parallel agent multiplier</t>
  </si>
  <si>
    <t xml:space="preserve">Average concurrent sessions per user</t>
  </si>
  <si>
    <t xml:space="preserve">PRICING (per 1M tokens)</t>
  </si>
  <si>
    <t xml:space="preserve">Input token cost (per 1M tokens)</t>
  </si>
  <si>
    <t xml:space="preserve">Check provider pricing for current rates</t>
  </si>
  <si>
    <t xml:space="preserve">Output token cost (per 1M tokens)</t>
  </si>
  <si>
    <t xml:space="preserve">Output tokens typically 3-5x input</t>
  </si>
  <si>
    <t xml:space="preserve">Cached input discount (%)</t>
  </si>
  <si>
    <t xml:space="preserve">Discount for cached/repeated context</t>
  </si>
  <si>
    <t xml:space="preserve">Estimated cache hit rate (%)</t>
  </si>
  <si>
    <t xml:space="preserve">% of input tokens served from cache</t>
  </si>
  <si>
    <t xml:space="preserve">BUDGET &amp; GROWTH</t>
  </si>
  <si>
    <t xml:space="preserve">Annual AI tooling budget</t>
  </si>
  <si>
    <t xml:space="preserve">Total approved budget for AI coding tools</t>
  </si>
  <si>
    <t xml:space="preserve">Monthly adoption growth rate (%)</t>
  </si>
  <si>
    <t xml:space="preserve">Month-over-month user increase</t>
  </si>
  <si>
    <t xml:space="preserve">Monthly usage growth per user (%)</t>
  </si>
  <si>
    <t xml:space="preserve">Month-over-month token increase per user</t>
  </si>
  <si>
    <t xml:space="preserve">12-MONTH FORECAST</t>
  </si>
  <si>
    <t xml:space="preserve">Month</t>
  </si>
  <si>
    <t xml:space="preserve">Active Users</t>
  </si>
  <si>
    <t xml:space="preserve">Input Tokens (M)</t>
  </si>
  <si>
    <t xml:space="preserve">Output Tokens (M)</t>
  </si>
  <si>
    <t xml:space="preserve">Monthly Cost</t>
  </si>
  <si>
    <t xml:space="preserve">Cumulative Cost</t>
  </si>
  <si>
    <t xml:space="preserve">Budget Remaining</t>
  </si>
  <si>
    <t xml:space="preserve">Month 1</t>
  </si>
  <si>
    <t xml:space="preserve">Month 2</t>
  </si>
  <si>
    <t xml:space="preserve">Month 3</t>
  </si>
  <si>
    <t xml:space="preserve">Month 4</t>
  </si>
  <si>
    <t xml:space="preserve">Month 5</t>
  </si>
  <si>
    <t xml:space="preserve">Month 6</t>
  </si>
  <si>
    <t xml:space="preserve">Month 7</t>
  </si>
  <si>
    <t xml:space="preserve">Month 8</t>
  </si>
  <si>
    <t xml:space="preserve">Month 9</t>
  </si>
  <si>
    <t xml:space="preserve">Month 10</t>
  </si>
  <si>
    <t xml:space="preserve">Month 11</t>
  </si>
  <si>
    <t xml:space="preserve">Month 12</t>
  </si>
  <si>
    <t xml:space="preserve">ANNUAL TOTAL</t>
  </si>
  <si>
    <t xml:space="preserve">KEY METRICS</t>
  </si>
  <si>
    <t xml:space="preserve">Budget exhaustion month</t>
  </si>
  <si>
    <t xml:space="preserve">Cost per active user per month (Month 1)</t>
  </si>
  <si>
    <t xml:space="preserve">Cost per active user per month (Month 12)</t>
  </si>
  <si>
    <t xml:space="preserve">Annual budget surplus / (deficit)</t>
  </si>
  <si>
    <t xml:space="preserve">Budget utilization rate</t>
  </si>
  <si>
    <t xml:space="preserve">Average monthly cost</t>
  </si>
  <si>
    <t xml:space="preserve">USAGE NOTES</t>
  </si>
  <si>
    <t xml:space="preserve">1. Blue cells are editable inputs. Change them to model your specific scenario.</t>
  </si>
  <si>
    <t xml:space="preserve">2. Token costs vary by model and provider. Check current pricing before finalizing.</t>
  </si>
  <si>
    <t xml:space="preserve">3. See the 'Value Capture' tab for ROI analysis showing whether the spend is justified.</t>
  </si>
  <si>
    <t xml:space="preserve">AI Coding Tool ROI &amp; Value Capture Analysis</t>
  </si>
  <si>
    <t xml:space="preserve">Quantify the return, not just the cost. All value categories are mutually exclusive (no double counting).</t>
  </si>
  <si>
    <t xml:space="preserve">ENGINEER ECONOMICS</t>
  </si>
  <si>
    <t xml:space="preserve">FULLY LOADED ENGINEER COST</t>
  </si>
  <si>
    <t xml:space="preserve">Average base salary</t>
  </si>
  <si>
    <t xml:space="preserve">Median software engineer salary</t>
  </si>
  <si>
    <t xml:space="preserve">Benefits &amp; overhead multiplier</t>
  </si>
  <si>
    <t xml:space="preserve">Benefits, office, equipment (1.3-1.5x typical)</t>
  </si>
  <si>
    <t xml:space="preserve">Fully loaded cost per engineer (annual)</t>
  </si>
  <si>
    <t xml:space="preserve">Fully loaded cost per engineer (hourly)</t>
  </si>
  <si>
    <t xml:space="preserve">Assumes 2,080 working hours/year</t>
  </si>
  <si>
    <t xml:space="preserve">TIME SAVINGS (primary value driver)</t>
  </si>
  <si>
    <t xml:space="preserve">Hours saved per engineer per day</t>
  </si>
  <si>
    <t xml:space="preserve">Direct time savings: boilerplate, debugging, test writing, docs</t>
  </si>
  <si>
    <t xml:space="preserve">Effective productivity gain (derived)</t>
  </si>
  <si>
    <t xml:space="preserve">Derived: hours saved / 8-hour day. NOT a separate input.</t>
  </si>
  <si>
    <t xml:space="preserve">CODE REVIEW SAVINGS (separate from dev time above)</t>
  </si>
  <si>
    <t xml:space="preserve">Hours spent on code review per day (baseline)</t>
  </si>
  <si>
    <t xml:space="preserve">Time reviewing others' code, not writing code</t>
  </si>
  <si>
    <t xml:space="preserve">Code review time reduction (%)</t>
  </si>
  <si>
    <t xml:space="preserve">Reduction due to AI-assisted code quality</t>
  </si>
  <si>
    <t xml:space="preserve">DEFECT REDUCTION SAVINGS (quality, not time)</t>
  </si>
  <si>
    <t xml:space="preserve">Estimated production bugs per month (baseline)</t>
  </si>
  <si>
    <t xml:space="preserve">Organization-wide monthly production defects</t>
  </si>
  <si>
    <t xml:space="preserve">Expected bug reduction (%)</t>
  </si>
  <si>
    <t xml:space="preserve">Reduction from AI-assisted testing and generation</t>
  </si>
  <si>
    <t xml:space="preserve">Average cost per production bug</t>
  </si>
  <si>
    <t xml:space="preserve">Debugging + fix + test + deploy + incident response</t>
  </si>
  <si>
    <t xml:space="preserve">ANNUAL VALUE CALCULATION (mutually exclusive categories)</t>
  </si>
  <si>
    <t xml:space="preserve">Each category measures a distinct, non-overlapping source of value.</t>
  </si>
  <si>
    <t xml:space="preserve">Value Category</t>
  </si>
  <si>
    <t xml:space="preserve">How Calculated</t>
  </si>
  <si>
    <t xml:space="preserve">Annual Value</t>
  </si>
  <si>
    <t xml:space="preserve">1. Developer time savings</t>
  </si>
  <si>
    <t xml:space="preserve">Active users x hrs saved/day x hourly rate x working days x 12</t>
  </si>
  <si>
    <t xml:space="preserve">2. Code review time savings</t>
  </si>
  <si>
    <t xml:space="preserve">Active users x review hrs x reduction % x hourly rate x working days x 12</t>
  </si>
  <si>
    <t xml:space="preserve">3. Defect reduction savings</t>
  </si>
  <si>
    <t xml:space="preserve">Monthly bugs x reduction % x cost per bug x 12 months</t>
  </si>
  <si>
    <t xml:space="preserve">TOTAL ANNUAL VALUE CREATED</t>
  </si>
  <si>
    <t xml:space="preserve">DERIVED CONTEXT (not added to total above)</t>
  </si>
  <si>
    <t xml:space="preserve">FTE equivalents recovered</t>
  </si>
  <si>
    <t xml:space="preserve">Time savings expressed as equivalent full-time engineers</t>
  </si>
  <si>
    <t xml:space="preserve">Total hours recovered per year</t>
  </si>
  <si>
    <t xml:space="preserve">Aggregate hours freed across all active engineers</t>
  </si>
  <si>
    <t xml:space="preserve">ROI SUMMARY</t>
  </si>
  <si>
    <t xml:space="preserve">Total annual AI tool cost</t>
  </si>
  <si>
    <t xml:space="preserve">Total annual value created</t>
  </si>
  <si>
    <t xml:space="preserve">Net value (value minus cost)</t>
  </si>
  <si>
    <t xml:space="preserve">Return on investment (ROI)</t>
  </si>
  <si>
    <t xml:space="preserve">Value-to-cost ratio</t>
  </si>
  <si>
    <t xml:space="preserve">Months to breakeven</t>
  </si>
  <si>
    <t xml:space="preserve">PER-ENGINEER MONTHLY ECONOMICS</t>
  </si>
  <si>
    <t xml:space="preserve">Monthly tool cost per engineer</t>
  </si>
  <si>
    <t xml:space="preserve">Monthly value per engineer</t>
  </si>
  <si>
    <t xml:space="preserve">Monthly net value per engineer</t>
  </si>
  <si>
    <t xml:space="preserve">Annual tool cost per engineer</t>
  </si>
  <si>
    <t xml:space="preserve">Annual value per engineer</t>
  </si>
  <si>
    <t xml:space="preserve">THE REAL STORY</t>
  </si>
  <si>
    <t xml:space="preserve">At enterprise scale, even small per-engineer gains multiply enormously. A tool that costs ~$19/month</t>
  </si>
  <si>
    <t xml:space="preserve">per engineer but saves 1.5 hours/day of a $117/hour engineer produces a massive return.</t>
  </si>
  <si>
    <t xml:space="preserve">The question was never 'can we afford this tool?' It was 'can we afford NOT to measure the output?'</t>
  </si>
  <si>
    <t xml:space="preserve">Organizations that blow their AI budget without tracking value are not overspending on AI.</t>
  </si>
  <si>
    <t xml:space="preserve">They are under-investing in procurement discipline and acceptance criteria.</t>
  </si>
  <si>
    <t xml:space="preserve">DECISION FRAMEWORK</t>
  </si>
  <si>
    <t xml:space="preserve">ROI Range</t>
  </si>
  <si>
    <t xml:space="preserve">Recommendation</t>
  </si>
  <si>
    <t xml:space="preserve">ROI &gt; 500%</t>
  </si>
  <si>
    <t xml:space="preserve">Strong case. Scale with controls. Focus on measurement, not cost-cutting.</t>
  </si>
  <si>
    <t xml:space="preserve">ROI 200-500%</t>
  </si>
  <si>
    <t xml:space="preserve">Excellent return. Expand access with usage policies and monitoring.</t>
  </si>
  <si>
    <t xml:space="preserve">ROI 100-200%</t>
  </si>
  <si>
    <t xml:space="preserve">Solid. Optimize usage patterns and renegotiate pricing at scale.</t>
  </si>
  <si>
    <t xml:space="preserve">ROI &lt; 100%</t>
  </si>
  <si>
    <t xml:space="preserve">Reassess. Either productivity assumptions are wrong or adoption is too low.</t>
  </si>
  <si>
    <t xml:space="preserve">METHODOLOGY NOTES</t>
  </si>
  <si>
    <t xml:space="preserve">1. Value categories are mutually exclusive. Developer time (writing code) and review time (reviewing others' code) are separate activities.</t>
  </si>
  <si>
    <t xml:space="preserve">2. Productivity gain % is DERIVED from hours saved, not a separate input. This prevents double counting.</t>
  </si>
  <si>
    <t xml:space="preserve">3. Bug reduction is a quality metric (cost avoidance), completely separate from time savings.</t>
  </si>
  <si>
    <t xml:space="preserve">4. FTE equivalents are a communication tool for leadership, not an additional value line item.</t>
  </si>
  <si>
    <t xml:space="preserve">5. This model does not capture second-order benefits: faster time-to-market, developer retention, competitive advantage.</t>
  </si>
  <si>
    <t xml:space="preserve">6. Default values are moderate estimates. Adjust blue cells to match your organization's data.</t>
  </si>
  <si>
    <t xml:space="preserve">AI Coding Tool Governance Checklist</t>
  </si>
  <si>
    <t xml:space="preserve">Pre-rollout controls: cost management, value measurement, and acceptance criteria</t>
  </si>
  <si>
    <t xml:space="preserve">Control Category</t>
  </si>
  <si>
    <t xml:space="preserve">Specific Control</t>
  </si>
  <si>
    <t xml:space="preserve">Status</t>
  </si>
  <si>
    <t xml:space="preserve">Owner</t>
  </si>
  <si>
    <t xml:space="preserve">Usage Policies</t>
  </si>
  <si>
    <t xml:space="preserve">Per-user daily token ceiling defined</t>
  </si>
  <si>
    <t xml:space="preserve">□</t>
  </si>
  <si>
    <t xml:space="preserve">Parallel agent session limits set</t>
  </si>
  <si>
    <t xml:space="preserve">Full-codebase refactor approval workflow</t>
  </si>
  <si>
    <t xml:space="preserve">Acceptable use guidelines published</t>
  </si>
  <si>
    <t xml:space="preserve">Consumption Monitoring</t>
  </si>
  <si>
    <t xml:space="preserve">Real-time usage dashboard deployed</t>
  </si>
  <si>
    <t xml:space="preserve">Weekly cost reports to engineering leads</t>
  </si>
  <si>
    <t xml:space="preserve">Automated alerts at 50%/75%/90% budget thresholds</t>
  </si>
  <si>
    <t xml:space="preserve">Per-team cost allocation tracking</t>
  </si>
  <si>
    <t xml:space="preserve">Acceptance Criteria</t>
  </si>
  <si>
    <t xml:space="preserve">Pilot group defined (% of total engineers)</t>
  </si>
  <si>
    <t xml:space="preserve">Pilot success metrics documented before rollout</t>
  </si>
  <si>
    <t xml:space="preserve">Phased rollout timeline with go/no-go gates</t>
  </si>
  <si>
    <t xml:space="preserve">ROI measurement framework agreed with finance</t>
  </si>
  <si>
    <t xml:space="preserve">Value Measurement</t>
  </si>
  <si>
    <t xml:space="preserve">Baseline productivity metrics captured pre-rollout</t>
  </si>
  <si>
    <t xml:space="preserve">Sprint velocity tracking (before/after comparison)</t>
  </si>
  <si>
    <t xml:space="preserve">Deployment frequency monitoring</t>
  </si>
  <si>
    <t xml:space="preserve">Bug rate tracking linked to AI-generated vs human code</t>
  </si>
  <si>
    <t xml:space="preserve">Hours saved per engineer survey (monthly)</t>
  </si>
  <si>
    <t xml:space="preserve">Contract Terms</t>
  </si>
  <si>
    <t xml:space="preserve">Volume discount thresholds negotiated</t>
  </si>
  <si>
    <t xml:space="preserve">Annual spend cap or not-to-exceed clause</t>
  </si>
  <si>
    <t xml:space="preserve">Token pricing locked for contract term</t>
  </si>
  <si>
    <t xml:space="preserve">Exit provisions and data portability reviewed</t>
  </si>
  <si>
    <t xml:space="preserve">Budget Planning</t>
  </si>
  <si>
    <t xml:space="preserve">Variable cost model approved (not fixed seat license)</t>
  </si>
  <si>
    <t xml:space="preserve">Quarterly budget review cadence established</t>
  </si>
  <si>
    <t xml:space="preserve">Contingency reserve (15-20% of base forecast)</t>
  </si>
  <si>
    <t xml:space="preserve">Cross-functional budget ownership (IT + Finance + Eng)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</si>
</sst>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"/>
    <numFmt numFmtId="166" formatCode="0.0%"/>
    <numFmt numFmtId="167" formatCode="0.0"/>
    <numFmt numFmtId="168" formatCode="\$#,##0.00"/>
    <numFmt numFmtId="169" formatCode="\$#,##0"/>
    <numFmt numFmtId="170" formatCode="#,##0.0"/>
    <numFmt numFmtId="171" formatCode="0.00"/>
    <numFmt numFmtId="172" formatCode="0%"/>
    <numFmt numFmtId="173" formatCode="0.0\x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B2A4A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9"/>
      <color rgb="FF0000FF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sz val="10"/>
      <color rgb="FF333333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1B2A4A"/>
      <name val="Arial"/>
      <family val="0"/>
      <charset val="1"/>
    </font>
    <font>
      <b val="true"/>
      <sz val="10"/>
      <name val="Arial"/>
      <family val="0"/>
      <charset val="1"/>
    </font>
    <font>
      <i val="true"/>
      <sz val="9"/>
      <color rgb="FF333333"/>
      <name val="Arial"/>
      <family val="0"/>
      <charset val="1"/>
    </font>
    <font>
      <b val="true"/>
      <sz val="11"/>
      <color rgb="FF1B5E20"/>
      <name val="Arial"/>
      <family val="0"/>
      <charset val="1"/>
    </font>
    <font>
      <i val="true"/>
      <sz val="10"/>
      <color rgb="FF333333"/>
      <name val="Arial"/>
      <family val="0"/>
      <charset val="1"/>
    </font>
    <font>
      <b val="true"/>
      <sz val="10"/>
      <color rgb="FF1B5E20"/>
      <name val="Arial"/>
      <family val="0"/>
      <charset val="1"/>
    </font>
    <font>
      <b val="true"/>
      <sz val="10"/>
      <color rgb="FFE65100"/>
      <name val="Arial"/>
      <family val="0"/>
      <charset val="1"/>
    </font>
    <font>
      <b val="true"/>
      <sz val="10"/>
      <color rgb="FFC62828"/>
      <name val="Arial"/>
      <family val="0"/>
      <charset val="1"/>
    </font>
    <font>
      <b val="true"/>
      <sz val="14"/>
      <color rgb="FF1B2A4A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B2A4A"/>
        <bgColor rgb="FF333333"/>
      </patternFill>
    </fill>
    <fill>
      <patternFill patternType="solid">
        <fgColor rgb="FFFFF8E1"/>
        <bgColor rgb="FFF5F5F5"/>
      </patternFill>
    </fill>
    <fill>
      <patternFill patternType="solid">
        <fgColor rgb="FFECEFF1"/>
        <bgColor rgb="FFE8F0F8"/>
      </patternFill>
    </fill>
    <fill>
      <patternFill patternType="solid">
        <fgColor rgb="FFE8F0F8"/>
        <bgColor rgb="FFECEFF1"/>
      </patternFill>
    </fill>
    <fill>
      <patternFill patternType="solid">
        <fgColor rgb="FFE0E0E0"/>
        <bgColor rgb="FFECEFF1"/>
      </patternFill>
    </fill>
    <fill>
      <patternFill patternType="solid">
        <fgColor rgb="FFE8F5E9"/>
        <bgColor rgb="FFECEFF1"/>
      </patternFill>
    </fill>
    <fill>
      <patternFill patternType="solid">
        <fgColor rgb="FFFFEBEE"/>
        <bgColor rgb="FFF5F5F5"/>
      </patternFill>
    </fill>
    <fill>
      <patternFill patternType="solid">
        <fgColor rgb="FFF5F5F5"/>
        <bgColor rgb="FFECEFF1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0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3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2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0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2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2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8E1"/>
      <rgbColor rgb="FFE8F5E9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0F8"/>
      <rgbColor rgb="FFECEFF1"/>
      <rgbColor rgb="FFF5F5F5"/>
      <rgbColor rgb="FF99CCFF"/>
      <rgbColor rgb="FFFF99CC"/>
      <rgbColor rgb="FFCC99FF"/>
      <rgbColor rgb="FFFFEBEE"/>
      <rgbColor rgb="FF3366FF"/>
      <rgbColor rgb="FF33CCCC"/>
      <rgbColor rgb="FF99CC00"/>
      <rgbColor rgb="FFFFCC00"/>
      <rgbColor rgb="FFFF9900"/>
      <rgbColor rgb="FFE65100"/>
      <rgbColor rgb="FF666666"/>
      <rgbColor rgb="FF969696"/>
      <rgbColor rgb="FF1B2A4A"/>
      <rgbColor rgb="FF339966"/>
      <rgbColor rgb="FF003300"/>
      <rgbColor rgb="FF333300"/>
      <rgbColor rgb="FFC62828"/>
      <rgbColor rgb="FF993366"/>
      <rgbColor rgb="FF2E5E8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2A4A"/>
    <pageSetUpPr fitToPage="false"/>
  </sheetPr>
  <dimension ref="B2:H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8"/>
    <col collapsed="false" customWidth="true" hidden="false" outlineLevel="0" max="7" min="3" style="0" width="18"/>
    <col collapsed="false" customWidth="true" hidden="false" outlineLevel="0" max="8" min="8" style="0" width="20"/>
  </cols>
  <sheetData>
    <row r="2" customFormat="false" ht="19.7" hidden="false" customHeight="false" outlineLevel="0" collapsed="false">
      <c r="B2" s="1" t="s">
        <v>0</v>
      </c>
      <c r="C2" s="1"/>
      <c r="D2" s="1"/>
      <c r="E2" s="1"/>
      <c r="F2" s="1"/>
      <c r="G2" s="1"/>
      <c r="H2" s="1"/>
    </row>
    <row r="3" customFormat="false" ht="15" hidden="false" customHeight="false" outlineLevel="0" collapsed="false">
      <c r="B3" s="2" t="s">
        <v>1</v>
      </c>
      <c r="C3" s="2"/>
      <c r="D3" s="2"/>
      <c r="E3" s="2"/>
      <c r="F3" s="2"/>
      <c r="G3" s="2"/>
      <c r="H3" s="2"/>
    </row>
    <row r="5" customFormat="false" ht="15" hidden="false" customHeight="true" outlineLevel="0" collapsed="false">
      <c r="B5" s="3" t="s">
        <v>2</v>
      </c>
      <c r="C5" s="3"/>
      <c r="D5" s="3"/>
      <c r="E5" s="3"/>
      <c r="F5" s="3"/>
      <c r="G5" s="3"/>
      <c r="H5" s="3"/>
    </row>
    <row r="6" customFormat="false" ht="15" hidden="false" customHeight="false" outlineLevel="0" collapsed="false">
      <c r="B6" s="4" t="s">
        <v>3</v>
      </c>
    </row>
    <row r="8" customFormat="false" ht="15" hidden="false" customHeight="false" outlineLevel="0" collapsed="false">
      <c r="B8" s="5" t="s">
        <v>4</v>
      </c>
      <c r="C8" s="6"/>
      <c r="D8" s="6"/>
      <c r="E8" s="6"/>
      <c r="F8" s="6"/>
      <c r="G8" s="6"/>
      <c r="H8" s="6"/>
    </row>
    <row r="9" customFormat="false" ht="15" hidden="false" customHeight="false" outlineLevel="0" collapsed="false">
      <c r="B9" s="7" t="s">
        <v>5</v>
      </c>
      <c r="C9" s="8" t="n">
        <v>5000</v>
      </c>
      <c r="E9" s="9" t="s">
        <v>6</v>
      </c>
    </row>
    <row r="10" customFormat="false" ht="15" hidden="false" customHeight="false" outlineLevel="0" collapsed="false">
      <c r="B10" s="7" t="s">
        <v>7</v>
      </c>
      <c r="C10" s="10" t="n">
        <v>0.84</v>
      </c>
      <c r="E10" s="9" t="s">
        <v>8</v>
      </c>
    </row>
    <row r="11" customFormat="false" ht="15" hidden="false" customHeight="false" outlineLevel="0" collapsed="false">
      <c r="B11" s="7" t="s">
        <v>9</v>
      </c>
      <c r="C11" s="11" t="n">
        <f aca="false">C9*C10</f>
        <v>4200</v>
      </c>
    </row>
    <row r="13" customFormat="false" ht="15" hidden="false" customHeight="false" outlineLevel="0" collapsed="false">
      <c r="B13" s="5" t="s">
        <v>10</v>
      </c>
      <c r="C13" s="6"/>
      <c r="D13" s="6"/>
      <c r="E13" s="6"/>
      <c r="F13" s="6"/>
      <c r="G13" s="6"/>
      <c r="H13" s="6"/>
    </row>
    <row r="14" customFormat="false" ht="15" hidden="false" customHeight="false" outlineLevel="0" collapsed="false">
      <c r="B14" s="7" t="s">
        <v>11</v>
      </c>
      <c r="C14" s="8" t="n">
        <v>50000</v>
      </c>
      <c r="E14" s="9" t="s">
        <v>12</v>
      </c>
    </row>
    <row r="15" customFormat="false" ht="15" hidden="false" customHeight="false" outlineLevel="0" collapsed="false">
      <c r="B15" s="7" t="s">
        <v>13</v>
      </c>
      <c r="C15" s="8" t="n">
        <v>15000</v>
      </c>
      <c r="E15" s="9" t="s">
        <v>14</v>
      </c>
    </row>
    <row r="16" customFormat="false" ht="15" hidden="false" customHeight="false" outlineLevel="0" collapsed="false">
      <c r="B16" s="7" t="s">
        <v>15</v>
      </c>
      <c r="C16" s="8" t="n">
        <v>22</v>
      </c>
      <c r="E16" s="9" t="s">
        <v>16</v>
      </c>
    </row>
    <row r="17" customFormat="false" ht="15" hidden="false" customHeight="false" outlineLevel="0" collapsed="false">
      <c r="B17" s="7" t="s">
        <v>17</v>
      </c>
      <c r="C17" s="12" t="n">
        <v>1.5</v>
      </c>
      <c r="E17" s="9" t="s">
        <v>18</v>
      </c>
    </row>
    <row r="19" customFormat="false" ht="15" hidden="false" customHeight="false" outlineLevel="0" collapsed="false">
      <c r="B19" s="5" t="s">
        <v>19</v>
      </c>
      <c r="C19" s="6"/>
      <c r="D19" s="6"/>
      <c r="E19" s="6"/>
      <c r="F19" s="6"/>
      <c r="G19" s="6"/>
      <c r="H19" s="6"/>
    </row>
    <row r="20" customFormat="false" ht="15" hidden="false" customHeight="false" outlineLevel="0" collapsed="false">
      <c r="B20" s="7" t="s">
        <v>20</v>
      </c>
      <c r="C20" s="13" t="n">
        <v>3</v>
      </c>
      <c r="E20" s="9" t="s">
        <v>21</v>
      </c>
    </row>
    <row r="21" customFormat="false" ht="15" hidden="false" customHeight="false" outlineLevel="0" collapsed="false">
      <c r="B21" s="7" t="s">
        <v>22</v>
      </c>
      <c r="C21" s="13" t="n">
        <v>15</v>
      </c>
      <c r="E21" s="9" t="s">
        <v>23</v>
      </c>
    </row>
    <row r="22" customFormat="false" ht="15" hidden="false" customHeight="false" outlineLevel="0" collapsed="false">
      <c r="B22" s="7" t="s">
        <v>24</v>
      </c>
      <c r="C22" s="10" t="n">
        <v>0.1</v>
      </c>
      <c r="E22" s="9" t="s">
        <v>25</v>
      </c>
    </row>
    <row r="23" customFormat="false" ht="15" hidden="false" customHeight="false" outlineLevel="0" collapsed="false">
      <c r="B23" s="7" t="s">
        <v>26</v>
      </c>
      <c r="C23" s="10" t="n">
        <v>0.3</v>
      </c>
      <c r="E23" s="9" t="s">
        <v>27</v>
      </c>
    </row>
    <row r="25" customFormat="false" ht="15" hidden="false" customHeight="false" outlineLevel="0" collapsed="false">
      <c r="B25" s="5" t="s">
        <v>28</v>
      </c>
      <c r="C25" s="6"/>
      <c r="D25" s="6"/>
      <c r="E25" s="6"/>
      <c r="F25" s="6"/>
      <c r="G25" s="6"/>
      <c r="H25" s="6"/>
    </row>
    <row r="26" customFormat="false" ht="15" hidden="false" customHeight="false" outlineLevel="0" collapsed="false">
      <c r="B26" s="7" t="s">
        <v>29</v>
      </c>
      <c r="C26" s="14" t="n">
        <v>2000000</v>
      </c>
      <c r="E26" s="9" t="s">
        <v>30</v>
      </c>
    </row>
    <row r="27" customFormat="false" ht="15" hidden="false" customHeight="false" outlineLevel="0" collapsed="false">
      <c r="B27" s="7" t="s">
        <v>31</v>
      </c>
      <c r="C27" s="10" t="n">
        <v>0.08</v>
      </c>
      <c r="E27" s="9" t="s">
        <v>32</v>
      </c>
    </row>
    <row r="28" customFormat="false" ht="15" hidden="false" customHeight="false" outlineLevel="0" collapsed="false">
      <c r="B28" s="7" t="s">
        <v>33</v>
      </c>
      <c r="C28" s="10" t="n">
        <v>0.05</v>
      </c>
      <c r="E28" s="9" t="s">
        <v>34</v>
      </c>
    </row>
    <row r="31" customFormat="false" ht="15" hidden="false" customHeight="true" outlineLevel="0" collapsed="false">
      <c r="B31" s="3" t="s">
        <v>35</v>
      </c>
      <c r="C31" s="3"/>
      <c r="D31" s="3"/>
      <c r="E31" s="3"/>
      <c r="F31" s="3"/>
      <c r="G31" s="3"/>
      <c r="H31" s="3"/>
    </row>
    <row r="32" customFormat="false" ht="15" hidden="false" customHeight="false" outlineLevel="0" collapsed="false">
      <c r="B32" s="15" t="s">
        <v>36</v>
      </c>
      <c r="C32" s="15" t="s">
        <v>37</v>
      </c>
      <c r="D32" s="15" t="s">
        <v>38</v>
      </c>
      <c r="E32" s="15" t="s">
        <v>39</v>
      </c>
      <c r="F32" s="15" t="s">
        <v>40</v>
      </c>
      <c r="G32" s="15" t="s">
        <v>41</v>
      </c>
      <c r="H32" s="15" t="s">
        <v>42</v>
      </c>
    </row>
    <row r="33" customFormat="false" ht="15" hidden="false" customHeight="false" outlineLevel="0" collapsed="false">
      <c r="B33" s="16" t="s">
        <v>43</v>
      </c>
      <c r="C33" s="11" t="n">
        <f aca="false">C11</f>
        <v>4200</v>
      </c>
      <c r="D33" s="17" t="n">
        <f aca="false">C33*C14*C16*C17/1000000</f>
        <v>6930</v>
      </c>
      <c r="E33" s="17" t="n">
        <f aca="false">C33*C15*C16*C17/1000000</f>
        <v>2079</v>
      </c>
      <c r="F33" s="18" t="n">
        <f aca="false">D33*(C20*(1-C23)+C20*(1-C22)*C23)+E33*C21</f>
        <v>51351.3</v>
      </c>
      <c r="G33" s="18" t="n">
        <f aca="false">F33</f>
        <v>51351.3</v>
      </c>
      <c r="H33" s="18" t="n">
        <f aca="false">C26-G33</f>
        <v>1948648.7</v>
      </c>
    </row>
    <row r="34" customFormat="false" ht="15" hidden="false" customHeight="false" outlineLevel="0" collapsed="false">
      <c r="B34" s="16" t="s">
        <v>44</v>
      </c>
      <c r="C34" s="11" t="n">
        <f aca="false">MIN(C33*(1+C$27),C$9)</f>
        <v>4536</v>
      </c>
      <c r="D34" s="17" t="n">
        <f aca="false">C34*C$14*(1+C$28)^(2-1)*C$16*C$17/1000000</f>
        <v>7858.62</v>
      </c>
      <c r="E34" s="17" t="n">
        <f aca="false">C34*C$15*(1+C$28)^(2-1)*C$16*C$17/1000000</f>
        <v>2357.586</v>
      </c>
      <c r="F34" s="18" t="n">
        <f aca="false">D34*(C$20*(1-C$23)+C$20*(1-C$22)*C$23)+E34*C$21</f>
        <v>58232.3742</v>
      </c>
      <c r="G34" s="18" t="n">
        <f aca="false">G33+F34</f>
        <v>109583.6742</v>
      </c>
      <c r="H34" s="18" t="n">
        <f aca="false">C$26-G34</f>
        <v>1890416.3258</v>
      </c>
    </row>
    <row r="35" customFormat="false" ht="15" hidden="false" customHeight="false" outlineLevel="0" collapsed="false">
      <c r="B35" s="16" t="s">
        <v>45</v>
      </c>
      <c r="C35" s="11" t="n">
        <f aca="false">MIN(C34*(1+C$27),C$9)</f>
        <v>4898.88</v>
      </c>
      <c r="D35" s="17" t="n">
        <f aca="false">C35*C$14*(1+C$28)^(3-1)*C$16*C$17/1000000</f>
        <v>8911.67508</v>
      </c>
      <c r="E35" s="17" t="n">
        <f aca="false">C35*C$15*(1+C$28)^(3-1)*C$16*C$17/1000000</f>
        <v>2673.502524</v>
      </c>
      <c r="F35" s="18" t="n">
        <f aca="false">D35*(C$20*(1-C$23)+C$20*(1-C$22)*C$23)+E35*C$21</f>
        <v>66035.5123428</v>
      </c>
      <c r="G35" s="18" t="n">
        <f aca="false">G34+F35</f>
        <v>175619.1865428</v>
      </c>
      <c r="H35" s="18" t="n">
        <f aca="false">C$26-G35</f>
        <v>1824380.8134572</v>
      </c>
    </row>
    <row r="36" customFormat="false" ht="15" hidden="false" customHeight="false" outlineLevel="0" collapsed="false">
      <c r="B36" s="16" t="s">
        <v>46</v>
      </c>
      <c r="C36" s="11" t="n">
        <f aca="false">MIN(C35*(1+C$27),C$9)</f>
        <v>5000</v>
      </c>
      <c r="D36" s="17" t="n">
        <f aca="false">C36*C$14*(1+C$28)^(4-1)*C$16*C$17/1000000</f>
        <v>9550.40625</v>
      </c>
      <c r="E36" s="17" t="n">
        <f aca="false">C36*C$15*(1+C$28)^(4-1)*C$16*C$17/1000000</f>
        <v>2865.121875</v>
      </c>
      <c r="F36" s="18" t="n">
        <f aca="false">D36*(C$20*(1-C$23)+C$20*(1-C$22)*C$23)+E36*C$21</f>
        <v>70768.5103125</v>
      </c>
      <c r="G36" s="18" t="n">
        <f aca="false">G35+F36</f>
        <v>246387.6968553</v>
      </c>
      <c r="H36" s="18" t="n">
        <f aca="false">C$26-G36</f>
        <v>1753612.3031447</v>
      </c>
    </row>
    <row r="37" customFormat="false" ht="15" hidden="false" customHeight="false" outlineLevel="0" collapsed="false">
      <c r="B37" s="16" t="s">
        <v>47</v>
      </c>
      <c r="C37" s="11" t="n">
        <f aca="false">MIN(C36*(1+C$27),C$9)</f>
        <v>5000</v>
      </c>
      <c r="D37" s="17" t="n">
        <f aca="false">C37*C$14*(1+C$28)^(5-1)*C$16*C$17/1000000</f>
        <v>10027.9265625</v>
      </c>
      <c r="E37" s="17" t="n">
        <f aca="false">C37*C$15*(1+C$28)^(5-1)*C$16*C$17/1000000</f>
        <v>3008.37796875</v>
      </c>
      <c r="F37" s="18" t="n">
        <f aca="false">D37*(C$20*(1-C$23)+C$20*(1-C$22)*C$23)+E37*C$21</f>
        <v>74306.935828125</v>
      </c>
      <c r="G37" s="18" t="n">
        <f aca="false">G36+F37</f>
        <v>320694.632683425</v>
      </c>
      <c r="H37" s="18" t="n">
        <f aca="false">C$26-G37</f>
        <v>1679305.36731658</v>
      </c>
    </row>
    <row r="38" customFormat="false" ht="15" hidden="false" customHeight="false" outlineLevel="0" collapsed="false">
      <c r="B38" s="16" t="s">
        <v>48</v>
      </c>
      <c r="C38" s="11" t="n">
        <f aca="false">MIN(C37*(1+C$27),C$9)</f>
        <v>5000</v>
      </c>
      <c r="D38" s="17" t="n">
        <f aca="false">C38*C$14*(1+C$28)^(6-1)*C$16*C$17/1000000</f>
        <v>10529.322890625</v>
      </c>
      <c r="E38" s="17" t="n">
        <f aca="false">C38*C$15*(1+C$28)^(6-1)*C$16*C$17/1000000</f>
        <v>3158.7968671875</v>
      </c>
      <c r="F38" s="18" t="n">
        <f aca="false">D38*(C$20*(1-C$23)+C$20*(1-C$22)*C$23)+E38*C$21</f>
        <v>78022.2826195313</v>
      </c>
      <c r="G38" s="18" t="n">
        <f aca="false">G37+F38</f>
        <v>398716.915302956</v>
      </c>
      <c r="H38" s="18" t="n">
        <f aca="false">C$26-G38</f>
        <v>1601283.08469704</v>
      </c>
    </row>
    <row r="39" customFormat="false" ht="15" hidden="false" customHeight="false" outlineLevel="0" collapsed="false">
      <c r="B39" s="16" t="s">
        <v>49</v>
      </c>
      <c r="C39" s="11" t="n">
        <f aca="false">MIN(C38*(1+C$27),C$9)</f>
        <v>5000</v>
      </c>
      <c r="D39" s="17" t="n">
        <f aca="false">C39*C$14*(1+C$28)^(7-1)*C$16*C$17/1000000</f>
        <v>11055.7890351563</v>
      </c>
      <c r="E39" s="17" t="n">
        <f aca="false">C39*C$15*(1+C$28)^(7-1)*C$16*C$17/1000000</f>
        <v>3316.73671054688</v>
      </c>
      <c r="F39" s="18" t="n">
        <f aca="false">D39*(C$20*(1-C$23)+C$20*(1-C$22)*C$23)+E39*C$21</f>
        <v>81923.3967505079</v>
      </c>
      <c r="G39" s="18" t="n">
        <f aca="false">G38+F39</f>
        <v>480640.312053464</v>
      </c>
      <c r="H39" s="18" t="n">
        <f aca="false">C$26-G39</f>
        <v>1519359.68794654</v>
      </c>
    </row>
    <row r="40" customFormat="false" ht="15" hidden="false" customHeight="false" outlineLevel="0" collapsed="false">
      <c r="B40" s="16" t="s">
        <v>50</v>
      </c>
      <c r="C40" s="11" t="n">
        <f aca="false">MIN(C39*(1+C$27),C$9)</f>
        <v>5000</v>
      </c>
      <c r="D40" s="17" t="n">
        <f aca="false">C40*C$14*(1+C$28)^(8-1)*C$16*C$17/1000000</f>
        <v>11608.5784869141</v>
      </c>
      <c r="E40" s="17" t="n">
        <f aca="false">C40*C$15*(1+C$28)^(8-1)*C$16*C$17/1000000</f>
        <v>3482.57354607422</v>
      </c>
      <c r="F40" s="18" t="n">
        <f aca="false">D40*(C$20*(1-C$23)+C$20*(1-C$22)*C$23)+E40*C$21</f>
        <v>86019.5665880332</v>
      </c>
      <c r="G40" s="18" t="n">
        <f aca="false">G39+F40</f>
        <v>566659.878641497</v>
      </c>
      <c r="H40" s="18" t="n">
        <f aca="false">C$26-G40</f>
        <v>1433340.1213585</v>
      </c>
    </row>
    <row r="41" customFormat="false" ht="15" hidden="false" customHeight="false" outlineLevel="0" collapsed="false">
      <c r="B41" s="16" t="s">
        <v>51</v>
      </c>
      <c r="C41" s="11" t="n">
        <f aca="false">MIN(C40*(1+C$27),C$9)</f>
        <v>5000</v>
      </c>
      <c r="D41" s="17" t="n">
        <f aca="false">C41*C$14*(1+C$28)^(9-1)*C$16*C$17/1000000</f>
        <v>12189.0074112598</v>
      </c>
      <c r="E41" s="17" t="n">
        <f aca="false">C41*C$15*(1+C$28)^(9-1)*C$16*C$17/1000000</f>
        <v>3656.70222337793</v>
      </c>
      <c r="F41" s="18" t="n">
        <f aca="false">D41*(C$20*(1-C$23)+C$20*(1-C$22)*C$23)+E41*C$21</f>
        <v>90320.5449174349</v>
      </c>
      <c r="G41" s="18" t="n">
        <f aca="false">G40+F41</f>
        <v>656980.423558932</v>
      </c>
      <c r="H41" s="18" t="n">
        <f aca="false">C$26-G41</f>
        <v>1343019.57644107</v>
      </c>
    </row>
    <row r="42" customFormat="false" ht="15" hidden="false" customHeight="false" outlineLevel="0" collapsed="false">
      <c r="B42" s="16" t="s">
        <v>52</v>
      </c>
      <c r="C42" s="11" t="n">
        <f aca="false">MIN(C41*(1+C$27),C$9)</f>
        <v>5000</v>
      </c>
      <c r="D42" s="17" t="n">
        <f aca="false">C42*C$14*(1+C$28)^(10-1)*C$16*C$17/1000000</f>
        <v>12798.4577818228</v>
      </c>
      <c r="E42" s="17" t="n">
        <f aca="false">C42*C$15*(1+C$28)^(10-1)*C$16*C$17/1000000</f>
        <v>3839.53733454683</v>
      </c>
      <c r="F42" s="18" t="n">
        <f aca="false">D42*(C$20*(1-C$23)+C$20*(1-C$22)*C$23)+E42*C$21</f>
        <v>94836.5721633066</v>
      </c>
      <c r="G42" s="18" t="n">
        <f aca="false">G41+F42</f>
        <v>751816.995722239</v>
      </c>
      <c r="H42" s="18" t="n">
        <f aca="false">C$26-G42</f>
        <v>1248183.00427776</v>
      </c>
    </row>
    <row r="43" customFormat="false" ht="15" hidden="false" customHeight="false" outlineLevel="0" collapsed="false">
      <c r="B43" s="16" t="s">
        <v>53</v>
      </c>
      <c r="C43" s="11" t="n">
        <f aca="false">MIN(C42*(1+C$27),C$9)</f>
        <v>5000</v>
      </c>
      <c r="D43" s="17" t="n">
        <f aca="false">C43*C$14*(1+C$28)^(11-1)*C$16*C$17/1000000</f>
        <v>13438.3806709139</v>
      </c>
      <c r="E43" s="17" t="n">
        <f aca="false">C43*C$15*(1+C$28)^(11-1)*C$16*C$17/1000000</f>
        <v>4031.51420127417</v>
      </c>
      <c r="F43" s="18" t="n">
        <f aca="false">D43*(C$20*(1-C$23)+C$20*(1-C$22)*C$23)+E43*C$21</f>
        <v>99578.400771472</v>
      </c>
      <c r="G43" s="18" t="n">
        <f aca="false">G42+F43</f>
        <v>851395.396493711</v>
      </c>
      <c r="H43" s="18" t="n">
        <f aca="false">C$26-G43</f>
        <v>1148604.60350629</v>
      </c>
    </row>
    <row r="44" customFormat="false" ht="15" hidden="false" customHeight="false" outlineLevel="0" collapsed="false">
      <c r="B44" s="16" t="s">
        <v>54</v>
      </c>
      <c r="C44" s="11" t="n">
        <f aca="false">MIN(C43*(1+C$27),C$9)</f>
        <v>5000</v>
      </c>
      <c r="D44" s="17" t="n">
        <f aca="false">C44*C$14*(1+C$28)^(12-1)*C$16*C$17/1000000</f>
        <v>14110.2997044596</v>
      </c>
      <c r="E44" s="17" t="n">
        <f aca="false">C44*C$15*(1+C$28)^(12-1)*C$16*C$17/1000000</f>
        <v>4233.08991133788</v>
      </c>
      <c r="F44" s="18" t="n">
        <f aca="false">D44*(C$20*(1-C$23)+C$20*(1-C$22)*C$23)+E44*C$21</f>
        <v>104557.320810046</v>
      </c>
      <c r="G44" s="18" t="n">
        <f aca="false">G43+F44</f>
        <v>955952.717303756</v>
      </c>
      <c r="H44" s="18" t="n">
        <f aca="false">C$26-G44</f>
        <v>1044047.28269624</v>
      </c>
    </row>
    <row r="45" customFormat="false" ht="15" hidden="false" customHeight="false" outlineLevel="0" collapsed="false">
      <c r="B45" s="19" t="s">
        <v>55</v>
      </c>
      <c r="C45" s="20"/>
      <c r="D45" s="21" t="n">
        <f aca="false">SUM(D33:D44)</f>
        <v>129008.463873651</v>
      </c>
      <c r="E45" s="21" t="n">
        <f aca="false">SUM(E33:E44)</f>
        <v>38702.5391620954</v>
      </c>
      <c r="F45" s="22" t="n">
        <f aca="false">SUM(F33:F44)</f>
        <v>955952.717303756</v>
      </c>
      <c r="G45" s="22" t="n">
        <f aca="false">G44</f>
        <v>955952.717303756</v>
      </c>
      <c r="H45" s="22" t="n">
        <f aca="false">H44</f>
        <v>1044047.28269624</v>
      </c>
    </row>
    <row r="48" customFormat="false" ht="15" hidden="false" customHeight="true" outlineLevel="0" collapsed="false">
      <c r="B48" s="3" t="s">
        <v>56</v>
      </c>
      <c r="C48" s="3"/>
      <c r="D48" s="3"/>
      <c r="E48" s="3"/>
      <c r="F48" s="3"/>
      <c r="G48" s="3"/>
      <c r="H48" s="3"/>
    </row>
    <row r="49" customFormat="false" ht="15" hidden="false" customHeight="false" outlineLevel="0" collapsed="false">
      <c r="B49" s="7" t="s">
        <v>57</v>
      </c>
      <c r="C49" s="23" t="str">
        <f aca="false">IFERROR(MATCH(TRUE(),INDEX(H33:H44&lt;0,0),0),"Budget holds all year")</f>
        <v>Budget holds all year</v>
      </c>
    </row>
    <row r="50" customFormat="false" ht="15" hidden="false" customHeight="false" outlineLevel="0" collapsed="false">
      <c r="B50" s="7" t="s">
        <v>58</v>
      </c>
      <c r="C50" s="24" t="n">
        <f aca="false">F33/C33</f>
        <v>12.2265</v>
      </c>
    </row>
    <row r="51" customFormat="false" ht="15" hidden="false" customHeight="false" outlineLevel="0" collapsed="false">
      <c r="B51" s="7" t="s">
        <v>59</v>
      </c>
      <c r="C51" s="24" t="n">
        <f aca="false">F44/C44</f>
        <v>20.9114641620091</v>
      </c>
    </row>
    <row r="52" customFormat="false" ht="15" hidden="false" customHeight="false" outlineLevel="0" collapsed="false">
      <c r="B52" s="7" t="s">
        <v>60</v>
      </c>
      <c r="C52" s="25" t="n">
        <f aca="false">H44</f>
        <v>1044047.28269624</v>
      </c>
    </row>
    <row r="53" customFormat="false" ht="15" hidden="false" customHeight="false" outlineLevel="0" collapsed="false">
      <c r="B53" s="7" t="s">
        <v>61</v>
      </c>
      <c r="C53" s="26" t="n">
        <f aca="false">G44/C26</f>
        <v>0.477976358651878</v>
      </c>
    </row>
    <row r="54" customFormat="false" ht="15" hidden="false" customHeight="false" outlineLevel="0" collapsed="false">
      <c r="B54" s="7" t="s">
        <v>62</v>
      </c>
      <c r="C54" s="25" t="n">
        <f aca="false">F45/12</f>
        <v>79662.7264419797</v>
      </c>
    </row>
    <row r="57" customFormat="false" ht="15" hidden="false" customHeight="false" outlineLevel="0" collapsed="false">
      <c r="B57" s="5" t="s">
        <v>63</v>
      </c>
      <c r="C57" s="6"/>
      <c r="D57" s="6"/>
      <c r="E57" s="6"/>
      <c r="F57" s="6"/>
      <c r="G57" s="6"/>
      <c r="H57" s="6"/>
    </row>
    <row r="58" customFormat="false" ht="15" hidden="false" customHeight="false" outlineLevel="0" collapsed="false">
      <c r="B58" s="9" t="s">
        <v>64</v>
      </c>
    </row>
    <row r="59" customFormat="false" ht="15" hidden="false" customHeight="false" outlineLevel="0" collapsed="false">
      <c r="B59" s="9" t="s">
        <v>65</v>
      </c>
    </row>
    <row r="60" customFormat="false" ht="15" hidden="false" customHeight="false" outlineLevel="0" collapsed="false">
      <c r="B60" s="9" t="s">
        <v>66</v>
      </c>
    </row>
  </sheetData>
  <mergeCells count="5">
    <mergeCell ref="B2:H2"/>
    <mergeCell ref="B3:H3"/>
    <mergeCell ref="B5:H5"/>
    <mergeCell ref="B31:H31"/>
    <mergeCell ref="B48:H4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5E20"/>
    <pageSetUpPr fitToPage="false"/>
  </sheetPr>
  <dimension ref="B2:E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2"/>
    <col collapsed="false" customWidth="true" hidden="false" outlineLevel="0" max="4" min="3" style="0" width="22"/>
    <col collapsed="false" customWidth="true" hidden="false" outlineLevel="0" max="5" min="5" style="0" width="28"/>
  </cols>
  <sheetData>
    <row r="2" customFormat="false" ht="19.7" hidden="false" customHeight="false" outlineLevel="0" collapsed="false">
      <c r="B2" s="1" t="s">
        <v>67</v>
      </c>
      <c r="C2" s="1"/>
      <c r="D2" s="1"/>
      <c r="E2" s="1"/>
    </row>
    <row r="3" customFormat="false" ht="15" hidden="false" customHeight="false" outlineLevel="0" collapsed="false">
      <c r="B3" s="2" t="s">
        <v>68</v>
      </c>
      <c r="C3" s="2"/>
      <c r="D3" s="2"/>
      <c r="E3" s="2"/>
    </row>
    <row r="5" customFormat="false" ht="15" hidden="false" customHeight="true" outlineLevel="0" collapsed="false">
      <c r="B5" s="3" t="s">
        <v>69</v>
      </c>
      <c r="C5" s="3"/>
      <c r="D5" s="3"/>
      <c r="E5" s="3"/>
    </row>
    <row r="6" customFormat="false" ht="15" hidden="false" customHeight="false" outlineLevel="0" collapsed="false">
      <c r="B6" s="4" t="s">
        <v>3</v>
      </c>
    </row>
    <row r="8" customFormat="false" ht="15" hidden="false" customHeight="false" outlineLevel="0" collapsed="false">
      <c r="B8" s="5" t="s">
        <v>70</v>
      </c>
      <c r="C8" s="6"/>
      <c r="D8" s="6"/>
      <c r="E8" s="6"/>
    </row>
    <row r="9" customFormat="false" ht="15" hidden="false" customHeight="false" outlineLevel="0" collapsed="false">
      <c r="B9" s="7" t="s">
        <v>71</v>
      </c>
      <c r="C9" s="14" t="n">
        <v>180000</v>
      </c>
      <c r="E9" s="9" t="s">
        <v>72</v>
      </c>
    </row>
    <row r="10" customFormat="false" ht="15" hidden="false" customHeight="false" outlineLevel="0" collapsed="false">
      <c r="B10" s="7" t="s">
        <v>73</v>
      </c>
      <c r="C10" s="27" t="n">
        <v>1.35</v>
      </c>
      <c r="E10" s="9" t="s">
        <v>74</v>
      </c>
    </row>
    <row r="11" customFormat="false" ht="15" hidden="false" customHeight="false" outlineLevel="0" collapsed="false">
      <c r="B11" s="7" t="s">
        <v>75</v>
      </c>
      <c r="C11" s="18" t="n">
        <f aca="false">C9*C10</f>
        <v>243000</v>
      </c>
    </row>
    <row r="12" customFormat="false" ht="15" hidden="false" customHeight="false" outlineLevel="0" collapsed="false">
      <c r="B12" s="7" t="s">
        <v>76</v>
      </c>
      <c r="C12" s="28" t="n">
        <f aca="false">C11/(52*40)</f>
        <v>116.826923076923</v>
      </c>
      <c r="E12" s="9" t="s">
        <v>77</v>
      </c>
    </row>
    <row r="14" customFormat="false" ht="15" hidden="false" customHeight="false" outlineLevel="0" collapsed="false">
      <c r="B14" s="5" t="s">
        <v>78</v>
      </c>
      <c r="C14" s="6"/>
      <c r="D14" s="6"/>
      <c r="E14" s="6"/>
    </row>
    <row r="15" customFormat="false" ht="15" hidden="false" customHeight="false" outlineLevel="0" collapsed="false">
      <c r="B15" s="7" t="s">
        <v>79</v>
      </c>
      <c r="C15" s="12" t="n">
        <v>1.5</v>
      </c>
      <c r="E15" s="9" t="s">
        <v>80</v>
      </c>
    </row>
    <row r="16" customFormat="false" ht="15" hidden="false" customHeight="false" outlineLevel="0" collapsed="false">
      <c r="B16" s="7" t="s">
        <v>81</v>
      </c>
      <c r="C16" s="29" t="n">
        <f aca="false">C15/8</f>
        <v>0.1875</v>
      </c>
      <c r="E16" s="9" t="s">
        <v>82</v>
      </c>
    </row>
    <row r="18" customFormat="false" ht="26.85" hidden="false" customHeight="false" outlineLevel="0" collapsed="false">
      <c r="B18" s="5" t="s">
        <v>83</v>
      </c>
      <c r="C18" s="6"/>
      <c r="D18" s="6"/>
      <c r="E18" s="6"/>
    </row>
    <row r="19" customFormat="false" ht="15" hidden="false" customHeight="false" outlineLevel="0" collapsed="false">
      <c r="B19" s="7" t="s">
        <v>84</v>
      </c>
      <c r="C19" s="12" t="n">
        <v>1</v>
      </c>
      <c r="E19" s="9" t="s">
        <v>85</v>
      </c>
    </row>
    <row r="20" customFormat="false" ht="15" hidden="false" customHeight="false" outlineLevel="0" collapsed="false">
      <c r="B20" s="7" t="s">
        <v>86</v>
      </c>
      <c r="C20" s="10" t="n">
        <v>0.2</v>
      </c>
      <c r="E20" s="9" t="s">
        <v>87</v>
      </c>
    </row>
    <row r="22" customFormat="false" ht="26.85" hidden="false" customHeight="false" outlineLevel="0" collapsed="false">
      <c r="B22" s="5" t="s">
        <v>88</v>
      </c>
      <c r="C22" s="6"/>
      <c r="D22" s="6"/>
      <c r="E22" s="6"/>
    </row>
    <row r="23" customFormat="false" ht="15" hidden="false" customHeight="false" outlineLevel="0" collapsed="false">
      <c r="B23" s="7" t="s">
        <v>89</v>
      </c>
      <c r="C23" s="8" t="n">
        <v>50</v>
      </c>
      <c r="E23" s="9" t="s">
        <v>90</v>
      </c>
    </row>
    <row r="24" customFormat="false" ht="15" hidden="false" customHeight="false" outlineLevel="0" collapsed="false">
      <c r="B24" s="7" t="s">
        <v>91</v>
      </c>
      <c r="C24" s="10" t="n">
        <v>0.15</v>
      </c>
      <c r="E24" s="9" t="s">
        <v>92</v>
      </c>
    </row>
    <row r="25" customFormat="false" ht="15" hidden="false" customHeight="false" outlineLevel="0" collapsed="false">
      <c r="B25" s="7" t="s">
        <v>93</v>
      </c>
      <c r="C25" s="14" t="n">
        <v>5000</v>
      </c>
      <c r="E25" s="9" t="s">
        <v>94</v>
      </c>
    </row>
    <row r="28" customFormat="false" ht="15" hidden="false" customHeight="true" outlineLevel="0" collapsed="false">
      <c r="B28" s="3" t="s">
        <v>95</v>
      </c>
      <c r="C28" s="3"/>
      <c r="D28" s="3"/>
      <c r="E28" s="3"/>
    </row>
    <row r="29" customFormat="false" ht="15" hidden="false" customHeight="false" outlineLevel="0" collapsed="false">
      <c r="B29" s="30" t="s">
        <v>96</v>
      </c>
    </row>
    <row r="31" customFormat="false" ht="15" hidden="false" customHeight="false" outlineLevel="0" collapsed="false">
      <c r="B31" s="15" t="s">
        <v>97</v>
      </c>
      <c r="C31" s="15" t="s">
        <v>98</v>
      </c>
      <c r="D31" s="15" t="s">
        <v>99</v>
      </c>
    </row>
    <row r="32" customFormat="false" ht="32.8" hidden="false" customHeight="false" outlineLevel="0" collapsed="false">
      <c r="B32" s="7" t="s">
        <v>100</v>
      </c>
      <c r="C32" s="31" t="s">
        <v>101</v>
      </c>
      <c r="D32" s="32" t="n">
        <f aca="false">'Cost Forecast'!C11*C15*C12*'Cost Forecast'!C16*12</f>
        <v>194306538.461539</v>
      </c>
    </row>
    <row r="33" customFormat="false" ht="32.8" hidden="false" customHeight="false" outlineLevel="0" collapsed="false">
      <c r="B33" s="7" t="s">
        <v>102</v>
      </c>
      <c r="C33" s="31" t="s">
        <v>103</v>
      </c>
      <c r="D33" s="32" t="n">
        <f aca="false">'Cost Forecast'!C11*C19*C20*C12*'Cost Forecast'!C16*12</f>
        <v>25907538.4615385</v>
      </c>
    </row>
    <row r="34" customFormat="false" ht="22.35" hidden="false" customHeight="false" outlineLevel="0" collapsed="false">
      <c r="B34" s="7" t="s">
        <v>104</v>
      </c>
      <c r="C34" s="31" t="s">
        <v>105</v>
      </c>
      <c r="D34" s="32" t="n">
        <f aca="false">C23*C24*C25*12</f>
        <v>450000</v>
      </c>
    </row>
    <row r="36" customFormat="false" ht="15" hidden="false" customHeight="false" outlineLevel="0" collapsed="false">
      <c r="B36" s="33" t="s">
        <v>106</v>
      </c>
      <c r="C36" s="34"/>
      <c r="D36" s="35" t="n">
        <f aca="false">SUM(D32:D34)</f>
        <v>220664076.923077</v>
      </c>
    </row>
    <row r="38" customFormat="false" ht="26.85" hidden="false" customHeight="false" outlineLevel="0" collapsed="false">
      <c r="B38" s="5" t="s">
        <v>107</v>
      </c>
      <c r="C38" s="6"/>
      <c r="D38" s="6"/>
      <c r="E38" s="6"/>
    </row>
    <row r="39" customFormat="false" ht="15" hidden="false" customHeight="false" outlineLevel="0" collapsed="false">
      <c r="B39" s="7" t="s">
        <v>108</v>
      </c>
      <c r="C39" s="17" t="n">
        <f aca="false">(D32+D33)/C11</f>
        <v>906.230769230769</v>
      </c>
      <c r="E39" s="9" t="s">
        <v>109</v>
      </c>
    </row>
    <row r="40" customFormat="false" ht="15" hidden="false" customHeight="false" outlineLevel="0" collapsed="false">
      <c r="B40" s="7" t="s">
        <v>110</v>
      </c>
      <c r="C40" s="11" t="n">
        <f aca="false">'Cost Forecast'!C11*(C15+C19*C20)*'Cost Forecast'!C16*12</f>
        <v>1884960</v>
      </c>
      <c r="E40" s="9" t="s">
        <v>111</v>
      </c>
    </row>
    <row r="43" customFormat="false" ht="15" hidden="false" customHeight="true" outlineLevel="0" collapsed="false">
      <c r="B43" s="3" t="s">
        <v>112</v>
      </c>
      <c r="C43" s="3"/>
      <c r="D43" s="3"/>
      <c r="E43" s="3"/>
    </row>
    <row r="44" customFormat="false" ht="15" hidden="false" customHeight="false" outlineLevel="0" collapsed="false">
      <c r="B44" s="7" t="s">
        <v>113</v>
      </c>
      <c r="C44" s="36" t="n">
        <f aca="false">'Cost Forecast'!F45</f>
        <v>955952.717303756</v>
      </c>
    </row>
    <row r="45" customFormat="false" ht="15" hidden="false" customHeight="false" outlineLevel="0" collapsed="false">
      <c r="B45" s="7" t="s">
        <v>114</v>
      </c>
      <c r="C45" s="37" t="n">
        <f aca="false">D36</f>
        <v>220664076.923077</v>
      </c>
    </row>
    <row r="46" customFormat="false" ht="15" hidden="false" customHeight="false" outlineLevel="0" collapsed="false">
      <c r="B46" s="7" t="s">
        <v>115</v>
      </c>
      <c r="C46" s="38" t="n">
        <f aca="false">C45-C44</f>
        <v>219708124.205773</v>
      </c>
    </row>
    <row r="47" customFormat="false" ht="15" hidden="false" customHeight="false" outlineLevel="0" collapsed="false">
      <c r="B47" s="7" t="s">
        <v>116</v>
      </c>
      <c r="C47" s="39" t="n">
        <f aca="false">IFERROR((C45-C44)/C44,0)</f>
        <v>229.831580818615</v>
      </c>
    </row>
    <row r="48" customFormat="false" ht="15" hidden="false" customHeight="false" outlineLevel="0" collapsed="false">
      <c r="B48" s="7" t="s">
        <v>117</v>
      </c>
      <c r="C48" s="40" t="n">
        <f aca="false">IFERROR(C45/C44,0)</f>
        <v>230.831580818615</v>
      </c>
    </row>
    <row r="49" customFormat="false" ht="15" hidden="false" customHeight="false" outlineLevel="0" collapsed="false">
      <c r="B49" s="7" t="s">
        <v>118</v>
      </c>
      <c r="C49" s="41" t="n">
        <f aca="false">IFERROR(C44/(C45/12),0)</f>
        <v>0.0519859542504691</v>
      </c>
    </row>
    <row r="52" customFormat="false" ht="15" hidden="false" customHeight="true" outlineLevel="0" collapsed="false">
      <c r="B52" s="3" t="s">
        <v>119</v>
      </c>
      <c r="C52" s="3"/>
      <c r="D52" s="3"/>
      <c r="E52" s="3"/>
    </row>
    <row r="53" customFormat="false" ht="15" hidden="false" customHeight="false" outlineLevel="0" collapsed="false">
      <c r="B53" s="7" t="s">
        <v>120</v>
      </c>
      <c r="C53" s="42" t="n">
        <f aca="false">IFERROR(C44/12/'Cost Forecast'!C11,0)</f>
        <v>18.967315819519</v>
      </c>
    </row>
    <row r="54" customFormat="false" ht="15" hidden="false" customHeight="false" outlineLevel="0" collapsed="false">
      <c r="B54" s="7" t="s">
        <v>121</v>
      </c>
      <c r="C54" s="43" t="n">
        <f aca="false">IFERROR(C45/12/'Cost Forecast'!C11,0)</f>
        <v>4378.2554945055</v>
      </c>
    </row>
    <row r="55" customFormat="false" ht="15" hidden="false" customHeight="false" outlineLevel="0" collapsed="false">
      <c r="B55" s="7" t="s">
        <v>122</v>
      </c>
      <c r="C55" s="44" t="n">
        <f aca="false">C54-C53</f>
        <v>4359.28817868598</v>
      </c>
    </row>
    <row r="56" customFormat="false" ht="15" hidden="false" customHeight="false" outlineLevel="0" collapsed="false">
      <c r="B56" s="7" t="s">
        <v>123</v>
      </c>
      <c r="C56" s="25" t="n">
        <f aca="false">C53*12</f>
        <v>227.607789834228</v>
      </c>
    </row>
    <row r="57" customFormat="false" ht="15" hidden="false" customHeight="false" outlineLevel="0" collapsed="false">
      <c r="B57" s="7" t="s">
        <v>124</v>
      </c>
      <c r="C57" s="25" t="n">
        <f aca="false">C54*12</f>
        <v>52539.065934066</v>
      </c>
    </row>
    <row r="60" customFormat="false" ht="15" hidden="false" customHeight="true" outlineLevel="0" collapsed="false">
      <c r="B60" s="3" t="s">
        <v>125</v>
      </c>
      <c r="C60" s="3"/>
      <c r="D60" s="3"/>
      <c r="E60" s="3"/>
    </row>
    <row r="61" customFormat="false" ht="15" hidden="false" customHeight="false" outlineLevel="0" collapsed="false">
      <c r="B61" s="45" t="s">
        <v>126</v>
      </c>
    </row>
    <row r="62" customFormat="false" ht="15" hidden="false" customHeight="false" outlineLevel="0" collapsed="false">
      <c r="B62" s="45" t="s">
        <v>127</v>
      </c>
    </row>
    <row r="63" customFormat="false" ht="15" hidden="false" customHeight="false" outlineLevel="0" collapsed="false">
      <c r="B63" s="9"/>
    </row>
    <row r="64" customFormat="false" ht="15" hidden="false" customHeight="false" outlineLevel="0" collapsed="false">
      <c r="B64" s="45" t="s">
        <v>128</v>
      </c>
    </row>
    <row r="65" customFormat="false" ht="15" hidden="false" customHeight="false" outlineLevel="0" collapsed="false">
      <c r="B65" s="9"/>
    </row>
    <row r="66" customFormat="false" ht="15" hidden="false" customHeight="false" outlineLevel="0" collapsed="false">
      <c r="B66" s="45" t="s">
        <v>129</v>
      </c>
    </row>
    <row r="67" customFormat="false" ht="15" hidden="false" customHeight="false" outlineLevel="0" collapsed="false">
      <c r="B67" s="45" t="s">
        <v>130</v>
      </c>
    </row>
    <row r="70" customFormat="false" ht="15" hidden="false" customHeight="true" outlineLevel="0" collapsed="false">
      <c r="B70" s="3" t="s">
        <v>131</v>
      </c>
      <c r="C70" s="3"/>
      <c r="D70" s="3"/>
      <c r="E70" s="3"/>
    </row>
    <row r="71" customFormat="false" ht="15" hidden="false" customHeight="true" outlineLevel="0" collapsed="false">
      <c r="B71" s="15" t="s">
        <v>132</v>
      </c>
      <c r="C71" s="46" t="s">
        <v>133</v>
      </c>
      <c r="D71" s="46"/>
      <c r="E71" s="46"/>
    </row>
    <row r="72" customFormat="false" ht="15" hidden="false" customHeight="true" outlineLevel="0" collapsed="false">
      <c r="B72" s="47" t="s">
        <v>134</v>
      </c>
      <c r="C72" s="48" t="s">
        <v>135</v>
      </c>
      <c r="D72" s="48"/>
      <c r="E72" s="48"/>
    </row>
    <row r="73" customFormat="false" ht="15" hidden="false" customHeight="true" outlineLevel="0" collapsed="false">
      <c r="B73" s="49" t="s">
        <v>136</v>
      </c>
      <c r="C73" s="48" t="s">
        <v>137</v>
      </c>
      <c r="D73" s="48"/>
      <c r="E73" s="48"/>
    </row>
    <row r="74" customFormat="false" ht="15" hidden="false" customHeight="true" outlineLevel="0" collapsed="false">
      <c r="B74" s="50" t="s">
        <v>138</v>
      </c>
      <c r="C74" s="48" t="s">
        <v>139</v>
      </c>
      <c r="D74" s="48"/>
      <c r="E74" s="48"/>
    </row>
    <row r="75" customFormat="false" ht="15" hidden="false" customHeight="true" outlineLevel="0" collapsed="false">
      <c r="B75" s="51" t="s">
        <v>140</v>
      </c>
      <c r="C75" s="48" t="s">
        <v>141</v>
      </c>
      <c r="D75" s="48"/>
      <c r="E75" s="48"/>
    </row>
    <row r="78" customFormat="false" ht="15" hidden="false" customHeight="false" outlineLevel="0" collapsed="false">
      <c r="B78" s="5" t="s">
        <v>142</v>
      </c>
      <c r="C78" s="6"/>
      <c r="D78" s="6"/>
      <c r="E78" s="6"/>
    </row>
    <row r="79" customFormat="false" ht="15" hidden="false" customHeight="false" outlineLevel="0" collapsed="false">
      <c r="B79" s="9" t="s">
        <v>143</v>
      </c>
    </row>
    <row r="80" customFormat="false" ht="15" hidden="false" customHeight="false" outlineLevel="0" collapsed="false">
      <c r="B80" s="9" t="s">
        <v>144</v>
      </c>
    </row>
    <row r="81" customFormat="false" ht="15" hidden="false" customHeight="false" outlineLevel="0" collapsed="false">
      <c r="B81" s="9" t="s">
        <v>145</v>
      </c>
    </row>
    <row r="82" customFormat="false" ht="15" hidden="false" customHeight="false" outlineLevel="0" collapsed="false">
      <c r="B82" s="9" t="s">
        <v>146</v>
      </c>
    </row>
    <row r="83" customFormat="false" ht="15" hidden="false" customHeight="false" outlineLevel="0" collapsed="false">
      <c r="B83" s="9" t="s">
        <v>147</v>
      </c>
    </row>
    <row r="84" customFormat="false" ht="15" hidden="false" customHeight="false" outlineLevel="0" collapsed="false">
      <c r="B84" s="9" t="s">
        <v>148</v>
      </c>
    </row>
  </sheetData>
  <mergeCells count="13">
    <mergeCell ref="B2:E2"/>
    <mergeCell ref="B3:E3"/>
    <mergeCell ref="B5:E5"/>
    <mergeCell ref="B28:E28"/>
    <mergeCell ref="B43:E43"/>
    <mergeCell ref="B52:E52"/>
    <mergeCell ref="B60:E60"/>
    <mergeCell ref="B70:E70"/>
    <mergeCell ref="C71:E71"/>
    <mergeCell ref="C72:E72"/>
    <mergeCell ref="C73:E73"/>
    <mergeCell ref="C74:E74"/>
    <mergeCell ref="C75:E7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E8C"/>
    <pageSetUpPr fitToPage="false"/>
  </sheetPr>
  <dimension ref="B2:E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3" min="3" style="0" width="42"/>
    <col collapsed="false" customWidth="true" hidden="false" outlineLevel="0" max="4" min="4" style="0" width="12"/>
    <col collapsed="false" customWidth="true" hidden="false" outlineLevel="0" max="5" min="5" style="0" width="25"/>
  </cols>
  <sheetData>
    <row r="2" customFormat="false" ht="17.35" hidden="false" customHeight="false" outlineLevel="0" collapsed="false">
      <c r="B2" s="52" t="s">
        <v>149</v>
      </c>
      <c r="C2" s="52"/>
      <c r="D2" s="52"/>
      <c r="E2" s="52"/>
    </row>
    <row r="3" customFormat="false" ht="15" hidden="false" customHeight="false" outlineLevel="0" collapsed="false">
      <c r="B3" s="53" t="s">
        <v>150</v>
      </c>
      <c r="C3" s="53"/>
      <c r="D3" s="53"/>
      <c r="E3" s="53"/>
    </row>
    <row r="5" customFormat="false" ht="15" hidden="false" customHeight="false" outlineLevel="0" collapsed="false">
      <c r="B5" s="54" t="s">
        <v>151</v>
      </c>
      <c r="C5" s="54" t="s">
        <v>152</v>
      </c>
      <c r="D5" s="54" t="s">
        <v>153</v>
      </c>
      <c r="E5" s="54" t="s">
        <v>154</v>
      </c>
    </row>
    <row r="6" customFormat="false" ht="15" hidden="false" customHeight="false" outlineLevel="0" collapsed="false">
      <c r="B6" s="7" t="s">
        <v>155</v>
      </c>
      <c r="C6" s="7" t="s">
        <v>156</v>
      </c>
      <c r="D6" s="55" t="s">
        <v>157</v>
      </c>
      <c r="E6" s="56"/>
    </row>
    <row r="7" customFormat="false" ht="15" hidden="false" customHeight="false" outlineLevel="0" collapsed="false">
      <c r="B7" s="57" t="s">
        <v>155</v>
      </c>
      <c r="C7" s="57" t="s">
        <v>158</v>
      </c>
      <c r="D7" s="58" t="s">
        <v>157</v>
      </c>
      <c r="E7" s="56"/>
    </row>
    <row r="8" customFormat="false" ht="15" hidden="false" customHeight="false" outlineLevel="0" collapsed="false">
      <c r="B8" s="7" t="s">
        <v>155</v>
      </c>
      <c r="C8" s="7" t="s">
        <v>159</v>
      </c>
      <c r="D8" s="55" t="s">
        <v>157</v>
      </c>
      <c r="E8" s="56"/>
    </row>
    <row r="9" customFormat="false" ht="15" hidden="false" customHeight="false" outlineLevel="0" collapsed="false">
      <c r="B9" s="57" t="s">
        <v>155</v>
      </c>
      <c r="C9" s="57" t="s">
        <v>160</v>
      </c>
      <c r="D9" s="58" t="s">
        <v>157</v>
      </c>
      <c r="E9" s="56"/>
    </row>
    <row r="10" customFormat="false" ht="15" hidden="false" customHeight="false" outlineLevel="0" collapsed="false">
      <c r="B10" s="7" t="s">
        <v>161</v>
      </c>
      <c r="C10" s="7" t="s">
        <v>162</v>
      </c>
      <c r="D10" s="55" t="s">
        <v>157</v>
      </c>
      <c r="E10" s="56"/>
    </row>
    <row r="11" customFormat="false" ht="15" hidden="false" customHeight="false" outlineLevel="0" collapsed="false">
      <c r="B11" s="57" t="s">
        <v>161</v>
      </c>
      <c r="C11" s="57" t="s">
        <v>163</v>
      </c>
      <c r="D11" s="58" t="s">
        <v>157</v>
      </c>
      <c r="E11" s="56"/>
    </row>
    <row r="12" customFormat="false" ht="23.85" hidden="false" customHeight="false" outlineLevel="0" collapsed="false">
      <c r="B12" s="7" t="s">
        <v>161</v>
      </c>
      <c r="C12" s="7" t="s">
        <v>164</v>
      </c>
      <c r="D12" s="55" t="s">
        <v>157</v>
      </c>
      <c r="E12" s="56"/>
    </row>
    <row r="13" customFormat="false" ht="15" hidden="false" customHeight="false" outlineLevel="0" collapsed="false">
      <c r="B13" s="57" t="s">
        <v>161</v>
      </c>
      <c r="C13" s="57" t="s">
        <v>165</v>
      </c>
      <c r="D13" s="58" t="s">
        <v>157</v>
      </c>
      <c r="E13" s="56"/>
    </row>
    <row r="14" customFormat="false" ht="15" hidden="false" customHeight="false" outlineLevel="0" collapsed="false">
      <c r="B14" s="7" t="s">
        <v>166</v>
      </c>
      <c r="C14" s="7" t="s">
        <v>167</v>
      </c>
      <c r="D14" s="55" t="s">
        <v>157</v>
      </c>
      <c r="E14" s="56"/>
    </row>
    <row r="15" customFormat="false" ht="15" hidden="false" customHeight="false" outlineLevel="0" collapsed="false">
      <c r="B15" s="57" t="s">
        <v>166</v>
      </c>
      <c r="C15" s="57" t="s">
        <v>168</v>
      </c>
      <c r="D15" s="58" t="s">
        <v>157</v>
      </c>
      <c r="E15" s="56"/>
    </row>
    <row r="16" customFormat="false" ht="15" hidden="false" customHeight="false" outlineLevel="0" collapsed="false">
      <c r="B16" s="7" t="s">
        <v>166</v>
      </c>
      <c r="C16" s="7" t="s">
        <v>169</v>
      </c>
      <c r="D16" s="55" t="s">
        <v>157</v>
      </c>
      <c r="E16" s="56"/>
    </row>
    <row r="17" customFormat="false" ht="15" hidden="false" customHeight="false" outlineLevel="0" collapsed="false">
      <c r="B17" s="57" t="s">
        <v>166</v>
      </c>
      <c r="C17" s="57" t="s">
        <v>170</v>
      </c>
      <c r="D17" s="58" t="s">
        <v>157</v>
      </c>
      <c r="E17" s="56"/>
    </row>
    <row r="18" customFormat="false" ht="15" hidden="false" customHeight="false" outlineLevel="0" collapsed="false">
      <c r="B18" s="7" t="s">
        <v>171</v>
      </c>
      <c r="C18" s="7" t="s">
        <v>172</v>
      </c>
      <c r="D18" s="55" t="s">
        <v>157</v>
      </c>
      <c r="E18" s="56"/>
    </row>
    <row r="19" customFormat="false" ht="15" hidden="false" customHeight="false" outlineLevel="0" collapsed="false">
      <c r="B19" s="57" t="s">
        <v>171</v>
      </c>
      <c r="C19" s="57" t="s">
        <v>173</v>
      </c>
      <c r="D19" s="58" t="s">
        <v>157</v>
      </c>
      <c r="E19" s="56"/>
    </row>
    <row r="20" customFormat="false" ht="15" hidden="false" customHeight="false" outlineLevel="0" collapsed="false">
      <c r="B20" s="7" t="s">
        <v>171</v>
      </c>
      <c r="C20" s="7" t="s">
        <v>174</v>
      </c>
      <c r="D20" s="55" t="s">
        <v>157</v>
      </c>
      <c r="E20" s="56"/>
    </row>
    <row r="21" customFormat="false" ht="23.85" hidden="false" customHeight="false" outlineLevel="0" collapsed="false">
      <c r="B21" s="57" t="s">
        <v>171</v>
      </c>
      <c r="C21" s="57" t="s">
        <v>175</v>
      </c>
      <c r="D21" s="58" t="s">
        <v>157</v>
      </c>
      <c r="E21" s="56"/>
    </row>
    <row r="22" customFormat="false" ht="15" hidden="false" customHeight="false" outlineLevel="0" collapsed="false">
      <c r="B22" s="7" t="s">
        <v>171</v>
      </c>
      <c r="C22" s="7" t="s">
        <v>176</v>
      </c>
      <c r="D22" s="55" t="s">
        <v>157</v>
      </c>
      <c r="E22" s="56"/>
    </row>
    <row r="23" customFormat="false" ht="15" hidden="false" customHeight="false" outlineLevel="0" collapsed="false">
      <c r="B23" s="57" t="s">
        <v>177</v>
      </c>
      <c r="C23" s="57" t="s">
        <v>178</v>
      </c>
      <c r="D23" s="58" t="s">
        <v>157</v>
      </c>
      <c r="E23" s="56"/>
    </row>
    <row r="24" customFormat="false" ht="15" hidden="false" customHeight="false" outlineLevel="0" collapsed="false">
      <c r="B24" s="7" t="s">
        <v>177</v>
      </c>
      <c r="C24" s="7" t="s">
        <v>179</v>
      </c>
      <c r="D24" s="55" t="s">
        <v>157</v>
      </c>
      <c r="E24" s="56"/>
    </row>
    <row r="25" customFormat="false" ht="15" hidden="false" customHeight="false" outlineLevel="0" collapsed="false">
      <c r="B25" s="57" t="s">
        <v>177</v>
      </c>
      <c r="C25" s="57" t="s">
        <v>180</v>
      </c>
      <c r="D25" s="58" t="s">
        <v>157</v>
      </c>
      <c r="E25" s="56"/>
    </row>
    <row r="26" customFormat="false" ht="15" hidden="false" customHeight="false" outlineLevel="0" collapsed="false">
      <c r="B26" s="7" t="s">
        <v>177</v>
      </c>
      <c r="C26" s="7" t="s">
        <v>181</v>
      </c>
      <c r="D26" s="55" t="s">
        <v>157</v>
      </c>
      <c r="E26" s="56"/>
    </row>
    <row r="27" customFormat="false" ht="23.85" hidden="false" customHeight="false" outlineLevel="0" collapsed="false">
      <c r="B27" s="57" t="s">
        <v>182</v>
      </c>
      <c r="C27" s="57" t="s">
        <v>183</v>
      </c>
      <c r="D27" s="58" t="s">
        <v>157</v>
      </c>
      <c r="E27" s="56"/>
    </row>
    <row r="28" customFormat="false" ht="15" hidden="false" customHeight="false" outlineLevel="0" collapsed="false">
      <c r="B28" s="7" t="s">
        <v>182</v>
      </c>
      <c r="C28" s="7" t="s">
        <v>184</v>
      </c>
      <c r="D28" s="55" t="s">
        <v>157</v>
      </c>
      <c r="E28" s="56"/>
    </row>
    <row r="29" customFormat="false" ht="15" hidden="false" customHeight="false" outlineLevel="0" collapsed="false">
      <c r="B29" s="57" t="s">
        <v>182</v>
      </c>
      <c r="C29" s="57" t="s">
        <v>185</v>
      </c>
      <c r="D29" s="58" t="s">
        <v>157</v>
      </c>
      <c r="E29" s="56"/>
    </row>
    <row r="30" customFormat="false" ht="23.85" hidden="false" customHeight="false" outlineLevel="0" collapsed="false">
      <c r="B30" s="7" t="s">
        <v>182</v>
      </c>
      <c r="C30" s="7" t="s">
        <v>186</v>
      </c>
      <c r="D30" s="55" t="s">
        <v>157</v>
      </c>
      <c r="E30" s="56"/>
    </row>
  </sheetData>
  <mergeCells count="2">
    <mergeCell ref="B2:E2"/>
    <mergeCell ref="B3:E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2026-04-21T05:14:00Z</dcterms:created>
  <dc:creator>openpyxl</dc:creator>
  <dc:description/>
  <dc:language>en-US</dc:language>
  <cp:lastModifiedBy/>
  <dcterms:modified xsi:type="dcterms:W3CDTF">2026-04-21T05:14:00Z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